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" sheetId="1" state="visible" r:id="rId1"/>
    <sheet xmlns:r="http://schemas.openxmlformats.org/officeDocument/2006/relationships" name="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0000"/>
  </numFmts>
  <fonts count="12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  <font>
      <b val="1"/>
    </font>
    <font>
      <b val="1"/>
      <color rgb="000F2747"/>
      <sz val="18"/>
    </font>
    <font>
      <i val="1"/>
      <color rgb="005A6B80"/>
    </font>
    <font>
      <color rgb="005A6B80"/>
    </font>
    <font>
      <b val="1"/>
      <color rgb="00105ED8"/>
      <sz val="12"/>
    </font>
    <font>
      <i val="1"/>
      <color rgb="005A6B80"/>
      <sz val="9"/>
    </font>
    <font/>
    <font>
      <b val="1"/>
      <color rgb="00FFFFFF"/>
      <sz val="13"/>
    </font>
    <font>
      <color rgb="005A6B80"/>
      <sz val="9"/>
    </font>
  </fonts>
  <fills count="4">
    <fill>
      <patternFill/>
    </fill>
    <fill>
      <patternFill patternType="gray125"/>
    </fill>
    <fill>
      <patternFill patternType="solid">
        <fgColor rgb="000F2747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B9C4D3"/>
      </left>
      <right style="thin">
        <color rgb="00B9C4D3"/>
      </right>
      <top style="thin">
        <color rgb="00B9C4D3"/>
      </top>
      <bottom style="thin">
        <color rgb="00B9C4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0" fillId="3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1" pivotButton="0" quotePrefix="0" xfId="0"/>
    <xf numFmtId="3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2" fontId="0" fillId="0" borderId="1" pivotButton="0" quotePrefix="0" xfId="0"/>
    <xf numFmtId="0" fontId="0" fillId="0" borderId="1" pivotButton="0" quotePrefix="0" xfId="0"/>
    <xf numFmtId="0" fontId="9" fillId="0" borderId="0" pivotButton="0" quotePrefix="0" xfId="0"/>
    <xf numFmtId="4" fontId="9" fillId="0" borderId="1" pivotButton="0" quotePrefix="0" xfId="0"/>
    <xf numFmtId="4" fontId="3" fillId="0" borderId="1" pivotButton="0" quotePrefix="0" xfId="0"/>
    <xf numFmtId="4" fontId="10" fillId="2" borderId="1" pivotButton="0" quotePrefix="0" xfId="0"/>
    <xf numFmtId="0" fontId="11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V5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20" customWidth="1" min="22" max="22"/>
  </cols>
  <sheetData>
    <row r="1">
      <c r="A1" s="1" t="inlineStr">
        <is>
          <t>Fire Pump Head Calculator</t>
        </is>
      </c>
    </row>
    <row r="2">
      <c r="A2" s="2" t="inlineStr">
        <is>
          <t>BuildMEP.com | Hazen-Williams, equivalent-length fittings, velocity checks, NFPA 20 curve check. Yellow cells are inputs.</t>
        </is>
      </c>
    </row>
    <row r="4">
      <c r="A4" s="3" t="inlineStr">
        <is>
          <t>Units</t>
        </is>
      </c>
      <c r="B4" s="4" t="inlineStr">
        <is>
          <t>US</t>
        </is>
      </c>
      <c r="C4" s="5">
        <f>IF(B4="Metric","L/min, m, bar","gpm, ft, psi")</f>
        <v/>
      </c>
    </row>
    <row r="5">
      <c r="A5" s="6" t="inlineStr">
        <is>
          <t>System demand</t>
        </is>
      </c>
    </row>
    <row r="6">
      <c r="A6" s="3" t="inlineStr">
        <is>
          <t>Design flow</t>
        </is>
      </c>
      <c r="B6" s="4" t="n">
        <v>750</v>
      </c>
      <c r="C6" s="5">
        <f>IF($B$4="Metric","L/min","gpm")</f>
        <v/>
      </c>
      <c r="E6" s="7" t="inlineStr">
        <is>
          <t>Metric example: 2839 L/min, 6.9 bar, 9 m, 0.3 bar, 1.5 m, round 0.5 bar, limits 6 / 4.5 m/s</t>
        </is>
      </c>
    </row>
    <row r="7">
      <c r="A7" s="3" t="inlineStr">
        <is>
          <t>Residual pressure at remote point</t>
        </is>
      </c>
      <c r="B7" s="4" t="n">
        <v>100</v>
      </c>
      <c r="C7" s="5">
        <f>IF($B$4="Metric","bar","psi")</f>
        <v/>
      </c>
    </row>
    <row r="8">
      <c r="A8" s="3" t="inlineStr">
        <is>
          <t>Elevation, pump discharge to highest point</t>
        </is>
      </c>
      <c r="B8" s="4" t="n">
        <v>30</v>
      </c>
      <c r="C8" s="5">
        <f>IF($B$4="Metric","m","ft")</f>
        <v/>
      </c>
    </row>
    <row r="9">
      <c r="A9" s="3" t="inlineStr">
        <is>
          <t>Other losses (backflow, alarm valve, meter)</t>
        </is>
      </c>
      <c r="B9" s="4" t="n">
        <v>5</v>
      </c>
      <c r="C9" s="5">
        <f>IF($B$4="Metric","bar","psi")</f>
        <v/>
      </c>
    </row>
    <row r="10">
      <c r="A10" s="3" t="inlineStr">
        <is>
          <t>Suction: water above pump (+) / lift (−)</t>
        </is>
      </c>
      <c r="B10" s="4" t="n">
        <v>5</v>
      </c>
      <c r="C10" s="5">
        <f>IF($B$4="Metric","m","ft")</f>
        <v/>
      </c>
    </row>
    <row r="11">
      <c r="A11" s="3" t="inlineStr">
        <is>
          <t>Safety margin</t>
        </is>
      </c>
      <c r="B11" s="4" t="n">
        <v>0</v>
      </c>
      <c r="C11" s="5" t="inlineStr">
        <is>
          <t>%</t>
        </is>
      </c>
    </row>
    <row r="12">
      <c r="A12" s="3" t="inlineStr">
        <is>
          <t>Round pump pressure up to</t>
        </is>
      </c>
      <c r="B12" s="4" t="n">
        <v>10</v>
      </c>
      <c r="C12" s="5">
        <f>IF($B$4="Metric","bar","psi")</f>
        <v/>
      </c>
    </row>
    <row r="13">
      <c r="A13" s="3" t="inlineStr">
        <is>
          <t>Velocity limit, discharge</t>
        </is>
      </c>
      <c r="B13" s="4" t="n">
        <v>20</v>
      </c>
      <c r="C13" s="5">
        <f>IF($B$4="Metric","m/s","ft/s")</f>
        <v/>
      </c>
    </row>
    <row r="14">
      <c r="A14" s="3" t="inlineStr">
        <is>
          <t>Velocity limit, suction</t>
        </is>
      </c>
      <c r="B14" s="4" t="n">
        <v>15</v>
      </c>
      <c r="C14" s="5">
        <f>IF($B$4="Metric","m/s","ft/s")</f>
        <v/>
      </c>
    </row>
    <row r="16">
      <c r="A16" s="6" t="inlineStr">
        <is>
          <t>Pipe segments (suction S and discharge D, in series). Leave Flow blank to use design flow. Length/flow in the units chosen above.</t>
        </is>
      </c>
    </row>
    <row r="17">
      <c r="A17" s="7" t="inlineStr">
        <is>
          <t>Velocity unit follows Units; fitting counts are numbers of each fitting.</t>
        </is>
      </c>
    </row>
    <row r="18" ht="44" customHeight="1">
      <c r="A18" s="8" t="inlineStr">
        <is>
          <t>Segment</t>
        </is>
      </c>
      <c r="B18" s="8" t="inlineStr">
        <is>
          <t>Type</t>
        </is>
      </c>
      <c r="C18" s="8" t="inlineStr">
        <is>
          <t>Size</t>
        </is>
      </c>
      <c r="D18" s="8" t="inlineStr">
        <is>
          <t>Sch</t>
        </is>
      </c>
      <c r="E18" s="8" t="inlineStr">
        <is>
          <t>Length</t>
        </is>
      </c>
      <c r="F18" s="8" t="inlineStr">
        <is>
          <t>Flow (opt.)</t>
        </is>
      </c>
      <c r="G18" s="8" t="inlineStr">
        <is>
          <t>C</t>
        </is>
      </c>
      <c r="H18" s="8" t="inlineStr">
        <is>
          <t>90° elbow (std)</t>
        </is>
      </c>
      <c r="I18" s="8" t="inlineStr">
        <is>
          <t>90° elbow (long)</t>
        </is>
      </c>
      <c r="J18" s="8" t="inlineStr">
        <is>
          <t>45° elbow</t>
        </is>
      </c>
      <c r="K18" s="8" t="inlineStr">
        <is>
          <t>Tee (run)</t>
        </is>
      </c>
      <c r="L18" s="8" t="inlineStr">
        <is>
          <t>Tee/cross (branch)</t>
        </is>
      </c>
      <c r="M18" s="8" t="inlineStr">
        <is>
          <t>Gate valve</t>
        </is>
      </c>
      <c r="N18" s="8" t="inlineStr">
        <is>
          <t>Butterfly valve</t>
        </is>
      </c>
      <c r="O18" s="8" t="inlineStr">
        <is>
          <t>Swing check</t>
        </is>
      </c>
      <c r="P18" s="8" t="inlineStr">
        <is>
          <t>ID (in)</t>
        </is>
      </c>
      <c r="Q18" s="8" t="inlineStr">
        <is>
          <t>Flow (gpm)</t>
        </is>
      </c>
      <c r="R18" s="8" t="inlineStr">
        <is>
          <t>Velocity</t>
        </is>
      </c>
      <c r="S18" s="8" t="inlineStr">
        <is>
          <t>Friction (psi/ft)</t>
        </is>
      </c>
      <c r="T18" s="8" t="inlineStr">
        <is>
          <t>Fittings eq. (ft)</t>
        </is>
      </c>
      <c r="U18" s="8" t="inlineStr">
        <is>
          <t>Loss (psi)</t>
        </is>
      </c>
      <c r="V18" s="8" t="inlineStr">
        <is>
          <t>Velocity check</t>
        </is>
      </c>
    </row>
    <row r="19">
      <c r="A19" s="4" t="inlineStr">
        <is>
          <t>Suction line</t>
        </is>
      </c>
      <c r="B19" s="4" t="inlineStr">
        <is>
          <t>S</t>
        </is>
      </c>
      <c r="C19" s="4" t="inlineStr">
        <is>
          <t>8"</t>
        </is>
      </c>
      <c r="D19" s="4" t="n">
        <v>40</v>
      </c>
      <c r="E19" s="4" t="n">
        <v>20</v>
      </c>
      <c r="F19" s="4" t="n"/>
      <c r="G19" s="4" t="n">
        <v>120</v>
      </c>
      <c r="H19" s="4" t="n">
        <v>1</v>
      </c>
      <c r="I19" s="4" t="n"/>
      <c r="J19" s="4" t="n"/>
      <c r="K19" s="4" t="n"/>
      <c r="L19" s="4" t="n"/>
      <c r="M19" s="4" t="n">
        <v>1</v>
      </c>
      <c r="N19" s="4" t="n"/>
      <c r="O19" s="4" t="n"/>
      <c r="P19" s="9">
        <f>IF($C19="","",INDEX(Data!$C$3:$D$14,MATCH($C19,Data!$A$3:$A$14,0),IF($D19=10,2,1)))</f>
        <v/>
      </c>
      <c r="Q19" s="10">
        <f>IF($C19="","",IF($F19&gt;0,$F19,$B$6)*Data!$O$2)</f>
        <v/>
      </c>
      <c r="R19" s="11">
        <f>IF($C19="","",0.4085*Q19/P19^2*Data!$O$5)</f>
        <v/>
      </c>
      <c r="S19" s="12">
        <f>IF($C19="","",4.52*Q19^1.85/($G19^1.85*P19^4.87))</f>
        <v/>
      </c>
      <c r="T19" s="11">
        <f>IF($C19="","",SUMPRODUCT($H19:$O19,INDEX(Data!$C$20:$J$31,MATCH($C19,Data!$A$20:$A$31,0),0))*($G19/120)^1.85)</f>
        <v/>
      </c>
      <c r="U19" s="13">
        <f>IF($C19="","",S19*($E19*Data!$O$3+T19))</f>
        <v/>
      </c>
      <c r="V19" s="14">
        <f>IF($C19="","",IF(R19&lt;=IF($B19="S",$B$14,$B$13),"OK","CHECK - above limit"))</f>
        <v/>
      </c>
    </row>
    <row r="20">
      <c r="A20" s="4" t="inlineStr">
        <is>
          <t>Pump room header</t>
        </is>
      </c>
      <c r="B20" s="4" t="inlineStr">
        <is>
          <t>D</t>
        </is>
      </c>
      <c r="C20" s="4" t="inlineStr">
        <is>
          <t>8"</t>
        </is>
      </c>
      <c r="D20" s="4" t="n">
        <v>40</v>
      </c>
      <c r="E20" s="4" t="n">
        <v>160</v>
      </c>
      <c r="F20" s="4" t="n"/>
      <c r="G20" s="4" t="n">
        <v>120</v>
      </c>
      <c r="H20" s="4" t="n">
        <v>2</v>
      </c>
      <c r="I20" s="4" t="n"/>
      <c r="J20" s="4" t="n"/>
      <c r="K20" s="4" t="n"/>
      <c r="L20" s="4" t="n">
        <v>1</v>
      </c>
      <c r="M20" s="4" t="n">
        <v>1</v>
      </c>
      <c r="N20" s="4" t="n"/>
      <c r="O20" s="4" t="n">
        <v>1</v>
      </c>
      <c r="P20" s="9">
        <f>IF($C20="","",INDEX(Data!$C$3:$D$14,MATCH($C20,Data!$A$3:$A$14,0),IF($D20=10,2,1)))</f>
        <v/>
      </c>
      <c r="Q20" s="10">
        <f>IF($C20="","",IF($F20&gt;0,$F20,$B$6)*Data!$O$2)</f>
        <v/>
      </c>
      <c r="R20" s="11">
        <f>IF($C20="","",0.4085*Q20/P20^2*Data!$O$5)</f>
        <v/>
      </c>
      <c r="S20" s="12">
        <f>IF($C20="","",4.52*Q20^1.85/($G20^1.85*P20^4.87))</f>
        <v/>
      </c>
      <c r="T20" s="11">
        <f>IF($C20="","",SUMPRODUCT($H20:$O20,INDEX(Data!$C$20:$J$31,MATCH($C20,Data!$A$20:$A$31,0),0))*($G20/120)^1.85)</f>
        <v/>
      </c>
      <c r="U20" s="13">
        <f>IF($C20="","",S20*($E20*Data!$O$3+T20))</f>
        <v/>
      </c>
      <c r="V20" s="14">
        <f>IF($C20="","",IF(R20&lt;=IF($B20="S",$B$14,$B$13),"OK","CHECK - above limit"))</f>
        <v/>
      </c>
    </row>
    <row r="21">
      <c r="A21" s="4" t="inlineStr">
        <is>
          <t>Riser feed main</t>
        </is>
      </c>
      <c r="B21" s="4" t="inlineStr">
        <is>
          <t>D</t>
        </is>
      </c>
      <c r="C21" s="4" t="inlineStr">
        <is>
          <t>6"</t>
        </is>
      </c>
      <c r="D21" s="4" t="n">
        <v>40</v>
      </c>
      <c r="E21" s="4" t="n">
        <v>300</v>
      </c>
      <c r="F21" s="4" t="n"/>
      <c r="G21" s="4" t="n">
        <v>120</v>
      </c>
      <c r="H21" s="4" t="n">
        <v>3</v>
      </c>
      <c r="I21" s="4" t="n">
        <v>2</v>
      </c>
      <c r="J21" s="4" t="n"/>
      <c r="K21" s="4" t="n"/>
      <c r="L21" s="4" t="n"/>
      <c r="M21" s="4" t="n">
        <v>1</v>
      </c>
      <c r="N21" s="4" t="n"/>
      <c r="O21" s="4" t="n"/>
      <c r="P21" s="9">
        <f>IF($C21="","",INDEX(Data!$C$3:$D$14,MATCH($C21,Data!$A$3:$A$14,0),IF($D21=10,2,1)))</f>
        <v/>
      </c>
      <c r="Q21" s="10">
        <f>IF($C21="","",IF($F21&gt;0,$F21,$B$6)*Data!$O$2)</f>
        <v/>
      </c>
      <c r="R21" s="11">
        <f>IF($C21="","",0.4085*Q21/P21^2*Data!$O$5)</f>
        <v/>
      </c>
      <c r="S21" s="12">
        <f>IF($C21="","",4.52*Q21^1.85/($G21^1.85*P21^4.87))</f>
        <v/>
      </c>
      <c r="T21" s="11">
        <f>IF($C21="","",SUMPRODUCT($H21:$O21,INDEX(Data!$C$20:$J$31,MATCH($C21,Data!$A$20:$A$31,0),0))*($G21/120)^1.85)</f>
        <v/>
      </c>
      <c r="U21" s="13">
        <f>IF($C21="","",S21*($E21*Data!$O$3+T21))</f>
        <v/>
      </c>
      <c r="V21" s="14">
        <f>IF($C21="","",IF(R21&lt;=IF($B21="S",$B$14,$B$13),"OK","CHECK - above limit"))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  <c r="N22" s="4" t="n"/>
      <c r="O22" s="4" t="n"/>
      <c r="P22" s="9">
        <f>IF($C22="","",INDEX(Data!$C$3:$D$14,MATCH($C22,Data!$A$3:$A$14,0),IF($D22=10,2,1)))</f>
        <v/>
      </c>
      <c r="Q22" s="10">
        <f>IF($C22="","",IF($F22&gt;0,$F22,$B$6)*Data!$O$2)</f>
        <v/>
      </c>
      <c r="R22" s="11">
        <f>IF($C22="","",0.4085*Q22/P22^2*Data!$O$5)</f>
        <v/>
      </c>
      <c r="S22" s="12">
        <f>IF($C22="","",4.52*Q22^1.85/($G22^1.85*P22^4.87))</f>
        <v/>
      </c>
      <c r="T22" s="11">
        <f>IF($C22="","",SUMPRODUCT($H22:$O22,INDEX(Data!$C$20:$J$31,MATCH($C22,Data!$A$20:$A$31,0),0))*($G22/120)^1.85)</f>
        <v/>
      </c>
      <c r="U22" s="13">
        <f>IF($C22="","",S22*($E22*Data!$O$3+T22))</f>
        <v/>
      </c>
      <c r="V22" s="14">
        <f>IF($C22="","",IF(R22&lt;=IF($B22="S",$B$14,$B$13),"OK","CHECK - above limit"))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4" t="n"/>
      <c r="O23" s="4" t="n"/>
      <c r="P23" s="9">
        <f>IF($C23="","",INDEX(Data!$C$3:$D$14,MATCH($C23,Data!$A$3:$A$14,0),IF($D23=10,2,1)))</f>
        <v/>
      </c>
      <c r="Q23" s="10">
        <f>IF($C23="","",IF($F23&gt;0,$F23,$B$6)*Data!$O$2)</f>
        <v/>
      </c>
      <c r="R23" s="11">
        <f>IF($C23="","",0.4085*Q23/P23^2*Data!$O$5)</f>
        <v/>
      </c>
      <c r="S23" s="12">
        <f>IF($C23="","",4.52*Q23^1.85/($G23^1.85*P23^4.87))</f>
        <v/>
      </c>
      <c r="T23" s="11">
        <f>IF($C23="","",SUMPRODUCT($H23:$O23,INDEX(Data!$C$20:$J$31,MATCH($C23,Data!$A$20:$A$31,0),0))*($G23/120)^1.85)</f>
        <v/>
      </c>
      <c r="U23" s="13">
        <f>IF($C23="","",S23*($E23*Data!$O$3+T23))</f>
        <v/>
      </c>
      <c r="V23" s="14">
        <f>IF($C23="","",IF(R23&lt;=IF($B23="S",$B$14,$B$13),"OK","CHECK - above limit"))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  <c r="L24" s="4" t="n"/>
      <c r="M24" s="4" t="n"/>
      <c r="N24" s="4" t="n"/>
      <c r="O24" s="4" t="n"/>
      <c r="P24" s="9">
        <f>IF($C24="","",INDEX(Data!$C$3:$D$14,MATCH($C24,Data!$A$3:$A$14,0),IF($D24=10,2,1)))</f>
        <v/>
      </c>
      <c r="Q24" s="10">
        <f>IF($C24="","",IF($F24&gt;0,$F24,$B$6)*Data!$O$2)</f>
        <v/>
      </c>
      <c r="R24" s="11">
        <f>IF($C24="","",0.4085*Q24/P24^2*Data!$O$5)</f>
        <v/>
      </c>
      <c r="S24" s="12">
        <f>IF($C24="","",4.52*Q24^1.85/($G24^1.85*P24^4.87))</f>
        <v/>
      </c>
      <c r="T24" s="11">
        <f>IF($C24="","",SUMPRODUCT($H24:$O24,INDEX(Data!$C$20:$J$31,MATCH($C24,Data!$A$20:$A$31,0),0))*($G24/120)^1.85)</f>
        <v/>
      </c>
      <c r="U24" s="13">
        <f>IF($C24="","",S24*($E24*Data!$O$3+T24))</f>
        <v/>
      </c>
      <c r="V24" s="14">
        <f>IF($C24="","",IF(R24&lt;=IF($B24="S",$B$14,$B$13),"OK","CHECK - above limit"))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4" t="n"/>
      <c r="O25" s="4" t="n"/>
      <c r="P25" s="9">
        <f>IF($C25="","",INDEX(Data!$C$3:$D$14,MATCH($C25,Data!$A$3:$A$14,0),IF($D25=10,2,1)))</f>
        <v/>
      </c>
      <c r="Q25" s="10">
        <f>IF($C25="","",IF($F25&gt;0,$F25,$B$6)*Data!$O$2)</f>
        <v/>
      </c>
      <c r="R25" s="11">
        <f>IF($C25="","",0.4085*Q25/P25^2*Data!$O$5)</f>
        <v/>
      </c>
      <c r="S25" s="12">
        <f>IF($C25="","",4.52*Q25^1.85/($G25^1.85*P25^4.87))</f>
        <v/>
      </c>
      <c r="T25" s="11">
        <f>IF($C25="","",SUMPRODUCT($H25:$O25,INDEX(Data!$C$20:$J$31,MATCH($C25,Data!$A$20:$A$31,0),0))*($G25/120)^1.85)</f>
        <v/>
      </c>
      <c r="U25" s="13">
        <f>IF($C25="","",S25*($E25*Data!$O$3+T25))</f>
        <v/>
      </c>
      <c r="V25" s="14">
        <f>IF($C25="","",IF(R25&lt;=IF($B25="S",$B$14,$B$13),"OK","CHECK - above limit"))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  <c r="O26" s="4" t="n"/>
      <c r="P26" s="9">
        <f>IF($C26="","",INDEX(Data!$C$3:$D$14,MATCH($C26,Data!$A$3:$A$14,0),IF($D26=10,2,1)))</f>
        <v/>
      </c>
      <c r="Q26" s="10">
        <f>IF($C26="","",IF($F26&gt;0,$F26,$B$6)*Data!$O$2)</f>
        <v/>
      </c>
      <c r="R26" s="11">
        <f>IF($C26="","",0.4085*Q26/P26^2*Data!$O$5)</f>
        <v/>
      </c>
      <c r="S26" s="12">
        <f>IF($C26="","",4.52*Q26^1.85/($G26^1.85*P26^4.87))</f>
        <v/>
      </c>
      <c r="T26" s="11">
        <f>IF($C26="","",SUMPRODUCT($H26:$O26,INDEX(Data!$C$20:$J$31,MATCH($C26,Data!$A$20:$A$31,0),0))*($G26/120)^1.85)</f>
        <v/>
      </c>
      <c r="U26" s="13">
        <f>IF($C26="","",S26*($E26*Data!$O$3+T26))</f>
        <v/>
      </c>
      <c r="V26" s="14">
        <f>IF($C26="","",IF(R26&lt;=IF($B26="S",$B$14,$B$13),"OK","CHECK - above limit"))</f>
        <v/>
      </c>
    </row>
    <row r="27">
      <c r="A27" s="7" t="inlineStr">
        <is>
          <t>Equivalent lengths for fittings with no listed value for that size are counted as zero (see Data sheet).</t>
        </is>
      </c>
    </row>
    <row r="29">
      <c r="A29" s="6" t="inlineStr">
        <is>
          <t>Result</t>
        </is>
      </c>
    </row>
    <row r="30">
      <c r="A30" s="15" t="inlineStr">
        <is>
          <t>Residual pressure at remote point</t>
        </is>
      </c>
      <c r="B30" s="16">
        <f>B7*Data!$O$4/Data!$O$4</f>
        <v/>
      </c>
      <c r="C30" s="5">
        <f>IF($B$4="Metric","bar","psi")</f>
        <v/>
      </c>
    </row>
    <row r="31">
      <c r="A31" s="15" t="inlineStr">
        <is>
          <t>Static head (elevation)</t>
        </is>
      </c>
      <c r="B31" s="16">
        <f>B8*Data!$O$3*Data!$O$7/Data!$O$4</f>
        <v/>
      </c>
      <c r="C31" s="5">
        <f>IF($B$4="Metric","bar","psi")</f>
        <v/>
      </c>
    </row>
    <row r="32">
      <c r="A32" s="15" t="inlineStr">
        <is>
          <t>Friction loss, discharge pipe and fittings</t>
        </is>
      </c>
      <c r="B32" s="16">
        <f>SUMIF($B$19:$B$26,"D",$U$19:$U$26)/Data!$O$4</f>
        <v/>
      </c>
      <c r="C32" s="5">
        <f>IF($B$4="Metric","bar","psi")</f>
        <v/>
      </c>
    </row>
    <row r="33">
      <c r="A33" s="15" t="inlineStr">
        <is>
          <t>Other losses</t>
        </is>
      </c>
      <c r="B33" s="16">
        <f>B9</f>
        <v/>
      </c>
      <c r="C33" s="5">
        <f>IF($B$4="Metric","bar","psi")</f>
        <v/>
      </c>
    </row>
    <row r="34">
      <c r="A34" s="3" t="inlineStr">
        <is>
          <t>Required discharge pressure</t>
        </is>
      </c>
      <c r="B34" s="17">
        <f>SUM(B30:B33)</f>
        <v/>
      </c>
      <c r="C34" s="5">
        <f>IF($B$4="Metric","bar","psi")</f>
        <v/>
      </c>
    </row>
    <row r="35">
      <c r="A35" s="15" t="inlineStr">
        <is>
          <t>Available suction pressure (static − suction friction)</t>
        </is>
      </c>
      <c r="B35" s="16">
        <f>(B10*Data!$O$3*Data!$O$7-SUMIF($B$19:$B$26,"S",$U$19:$U$26))/Data!$O$4</f>
        <v/>
      </c>
      <c r="C35" s="5">
        <f>IF($B$4="Metric","bar","psi")</f>
        <v/>
      </c>
    </row>
    <row r="36">
      <c r="A36" s="3" t="inlineStr">
        <is>
          <t>Net pump pressure required</t>
        </is>
      </c>
      <c r="B36" s="17">
        <f>B34-B35</f>
        <v/>
      </c>
      <c r="C36" s="5">
        <f>IF($B$4="Metric","bar","psi")</f>
        <v/>
      </c>
    </row>
    <row r="37">
      <c r="A37" s="15" t="inlineStr">
        <is>
          <t>With safety margin</t>
        </is>
      </c>
      <c r="B37" s="16">
        <f>B36*(1+B11/100)</f>
        <v/>
      </c>
      <c r="C37" s="5">
        <f>IF($B$4="Metric","bar","psi")</f>
        <v/>
      </c>
    </row>
    <row r="38">
      <c r="A38" s="3" t="inlineStr">
        <is>
          <t>Design net pressure (rounded up)</t>
        </is>
      </c>
      <c r="B38" s="18">
        <f>CEILING(B37-0.000001,B12)</f>
        <v/>
      </c>
      <c r="C38" s="5">
        <f>IF($B$4="Metric","bar","psi")</f>
        <v/>
      </c>
    </row>
    <row r="39">
      <c r="A39" t="inlineStr">
        <is>
          <t>Pump rating (next standard flow)</t>
        </is>
      </c>
      <c r="B39" s="10">
        <f>IF(B6*Data!$O$2&gt;5000,"confirm with manufacturer",INDEX(Data!$L$2:$L$22,COUNTIF(Data!$L$2:$L$22,"&lt;"&amp;(B6*Data!$O$2-0.000001))+1)/Data!$O$2)</f>
        <v/>
      </c>
      <c r="C39">
        <f>IF($B$4="Metric","L/min","gpm")</f>
        <v/>
      </c>
    </row>
    <row r="40">
      <c r="A40" t="inlineStr">
        <is>
          <t>Velocity checks</t>
        </is>
      </c>
      <c r="B40">
        <f>IF(COUNTIF($V$19:$V$26,"CHECK*")=0,"All segments OK",COUNTIF($V$19:$V$26,"CHECK*")&amp;" segment(s) above limit")</f>
        <v/>
      </c>
    </row>
    <row r="42">
      <c r="A42" s="6" t="inlineStr">
        <is>
          <t>Pump curve check (NFPA 20) - enter the selected pump's values</t>
        </is>
      </c>
    </row>
    <row r="43">
      <c r="A43" s="3" t="inlineStr">
        <is>
          <t>Rated net pressure</t>
        </is>
      </c>
      <c r="B43" s="4">
        <f>B38</f>
        <v/>
      </c>
      <c r="C43" s="5">
        <f>IF($B$4="Metric","bar","psi")</f>
        <v/>
      </c>
    </row>
    <row r="44">
      <c r="A44" s="3" t="inlineStr">
        <is>
          <t>Shutoff (churn) pressure</t>
        </is>
      </c>
      <c r="B44" s="4" t="n"/>
      <c r="C44" s="5">
        <f>IF($B$4="Metric","bar","psi")</f>
        <v/>
      </c>
    </row>
    <row r="45">
      <c r="A45" s="3" t="inlineStr">
        <is>
          <t>Pressure at 150% rated flow</t>
        </is>
      </c>
      <c r="B45" s="4" t="n"/>
      <c r="C45" s="5">
        <f>IF($B$4="Metric","bar","psi")</f>
        <v/>
      </c>
    </row>
    <row r="46">
      <c r="A46" t="inlineStr">
        <is>
          <t>Shutoff ≤ 140% of rated</t>
        </is>
      </c>
      <c r="B46">
        <f>IF(OR(B44="",B43=""),"enter values",TEXT(B44/B43,"0%")&amp;IF(AND(B44&lt;=1.4*B43,B44&gt;=B43)," OK"," FAIL"))</f>
        <v/>
      </c>
    </row>
    <row r="47">
      <c r="A47" t="inlineStr">
        <is>
          <t>Pressure at 150% flow ≥ 65% of rated</t>
        </is>
      </c>
      <c r="B47">
        <f>IF(OR(B45="",B43=""),"enter values",TEXT(B45/B43,"0%")&amp;IF(B45&gt;=0.65*B43," OK"," FAIL"))</f>
        <v/>
      </c>
    </row>
    <row r="48">
      <c r="A48" t="inlineStr">
        <is>
          <t>Rated pressure ≥ design net pressure</t>
        </is>
      </c>
      <c r="B48">
        <f>IF(B43="","enter values",IF(B43&gt;=B38-0.000001,"OK","FAIL"))</f>
        <v/>
      </c>
    </row>
    <row r="50">
      <c r="A50" s="19" t="inlineStr">
        <is>
          <t>Disclaimer: free educational tool by BuildMEP.com. Method: P = 4.52 Q^1.85 / (C^1.85 d^4.87) psi/ft (NFPA 13) using actual pipe internal diameter. Verify tables, limits and results against the NFPA edition adopted on your project; not a substitute for a licensed engineer's review.</t>
        </is>
      </c>
    </row>
    <row r="51"/>
  </sheetData>
  <mergeCells count="1">
    <mergeCell ref="A50:K51"/>
  </mergeCells>
  <dataValidations count="4">
    <dataValidation sqref="B4" showDropDown="0" showInputMessage="0" showErrorMessage="0" allowBlank="0" type="list">
      <formula1>"US,Metric"</formula1>
    </dataValidation>
    <dataValidation sqref="B19:B26" showDropDown="0" showInputMessage="0" showErrorMessage="0" allowBlank="0" type="list">
      <formula1>"S,D"</formula1>
    </dataValidation>
    <dataValidation sqref="C19:C26" showDropDown="0" showInputMessage="0" showErrorMessage="0" allowBlank="0" type="list">
      <formula1>=Data!$A$3:$A$14</formula1>
    </dataValidation>
    <dataValidation sqref="D19:D26" showDropDown="0" showInputMessage="0" showErrorMessage="0" allowBlank="0" type="list">
      <formula1>"40,10"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28" customWidth="1" min="14" max="14"/>
  </cols>
  <sheetData>
    <row r="1">
      <c r="A1" s="20" t="inlineStr">
        <is>
          <t>Pipe data (internal diameter, in)</t>
        </is>
      </c>
      <c r="L1" s="3" t="inlineStr">
        <is>
          <t>Standard rated flows (gpm)</t>
        </is>
      </c>
      <c r="N1" s="3" t="inlineStr">
        <is>
          <t>Unit factors (driven by Units cell on Calc)</t>
        </is>
      </c>
    </row>
    <row r="2">
      <c r="A2" s="21" t="inlineStr">
        <is>
          <t>Nominal</t>
        </is>
      </c>
      <c r="B2" s="21" t="inlineStr">
        <is>
          <t>DN</t>
        </is>
      </c>
      <c r="C2" s="21" t="inlineStr">
        <is>
          <t>ID Sch 40 (in)</t>
        </is>
      </c>
      <c r="D2" s="21" t="inlineStr">
        <is>
          <t>ID Sch 10 (in)</t>
        </is>
      </c>
      <c r="L2" t="n">
        <v>25</v>
      </c>
      <c r="N2" t="inlineStr">
        <is>
          <t>Flow → gpm</t>
        </is>
      </c>
      <c r="O2">
        <f>IF((Calc!$B$4="Metric"),1/3.78541,1)</f>
        <v/>
      </c>
    </row>
    <row r="3">
      <c r="A3" t="inlineStr">
        <is>
          <t>1"</t>
        </is>
      </c>
      <c r="B3" t="n">
        <v>25</v>
      </c>
      <c r="C3" t="n">
        <v>1.049</v>
      </c>
      <c r="D3" t="n">
        <v>1.097</v>
      </c>
      <c r="L3" t="n">
        <v>50</v>
      </c>
      <c r="N3" t="inlineStr">
        <is>
          <t>Length → ft</t>
        </is>
      </c>
      <c r="O3">
        <f>IF((Calc!$B$4="Metric"),1/0.3048,1)</f>
        <v/>
      </c>
    </row>
    <row r="4">
      <c r="A4" t="inlineStr">
        <is>
          <t>1-1/4"</t>
        </is>
      </c>
      <c r="B4" t="n">
        <v>32</v>
      </c>
      <c r="C4" t="n">
        <v>1.38</v>
      </c>
      <c r="D4" t="n">
        <v>1.442</v>
      </c>
      <c r="L4" t="n">
        <v>100</v>
      </c>
      <c r="N4" t="inlineStr">
        <is>
          <t>Pressure → psi</t>
        </is>
      </c>
      <c r="O4">
        <f>IF((Calc!$B$4="Metric"),14.5038,1)</f>
        <v/>
      </c>
    </row>
    <row r="5">
      <c r="A5" t="inlineStr">
        <is>
          <t>1-1/2"</t>
        </is>
      </c>
      <c r="B5" t="n">
        <v>40</v>
      </c>
      <c r="C5" t="n">
        <v>1.61</v>
      </c>
      <c r="D5" t="n">
        <v>1.682</v>
      </c>
      <c r="L5" t="n">
        <v>150</v>
      </c>
      <c r="N5" t="inlineStr">
        <is>
          <t>Velocity: display ← ft/s</t>
        </is>
      </c>
      <c r="O5">
        <f>IF((Calc!$B$4="Metric"),0.3048,1)</f>
        <v/>
      </c>
    </row>
    <row r="6">
      <c r="A6" t="inlineStr">
        <is>
          <t>2"</t>
        </is>
      </c>
      <c r="B6" t="n">
        <v>50</v>
      </c>
      <c r="C6" t="n">
        <v>2.067</v>
      </c>
      <c r="D6" t="n">
        <v>2.157</v>
      </c>
      <c r="L6" t="n">
        <v>200</v>
      </c>
    </row>
    <row r="7">
      <c r="A7" t="inlineStr">
        <is>
          <t>2-1/2"</t>
        </is>
      </c>
      <c r="B7" t="n">
        <v>65</v>
      </c>
      <c r="C7" t="n">
        <v>2.469</v>
      </c>
      <c r="D7" t="n">
        <v>2.635</v>
      </c>
      <c r="L7" t="n">
        <v>250</v>
      </c>
      <c r="N7" t="inlineStr">
        <is>
          <t>Water static head (psi/ft)</t>
        </is>
      </c>
      <c r="O7" t="n">
        <v>0.433</v>
      </c>
    </row>
    <row r="8">
      <c r="A8" t="inlineStr">
        <is>
          <t>3"</t>
        </is>
      </c>
      <c r="B8" t="n">
        <v>80</v>
      </c>
      <c r="C8" t="n">
        <v>3.068</v>
      </c>
      <c r="D8" t="n">
        <v>3.26</v>
      </c>
      <c r="L8" t="n">
        <v>300</v>
      </c>
    </row>
    <row r="9">
      <c r="A9" t="inlineStr">
        <is>
          <t>4"</t>
        </is>
      </c>
      <c r="B9" t="n">
        <v>100</v>
      </c>
      <c r="C9" t="n">
        <v>4.026</v>
      </c>
      <c r="D9" t="n">
        <v>4.26</v>
      </c>
      <c r="L9" t="n">
        <v>400</v>
      </c>
    </row>
    <row r="10">
      <c r="A10" t="inlineStr">
        <is>
          <t>5"</t>
        </is>
      </c>
      <c r="B10" t="n">
        <v>125</v>
      </c>
      <c r="C10" t="n">
        <v>5.047</v>
      </c>
      <c r="D10" t="n">
        <v>5.295</v>
      </c>
      <c r="L10" t="n">
        <v>450</v>
      </c>
    </row>
    <row r="11">
      <c r="A11" t="inlineStr">
        <is>
          <t>6"</t>
        </is>
      </c>
      <c r="B11" t="n">
        <v>150</v>
      </c>
      <c r="C11" t="n">
        <v>6.065</v>
      </c>
      <c r="D11" t="n">
        <v>6.357</v>
      </c>
      <c r="L11" t="n">
        <v>500</v>
      </c>
    </row>
    <row r="12">
      <c r="A12" t="inlineStr">
        <is>
          <t>8"</t>
        </is>
      </c>
      <c r="B12" t="n">
        <v>200</v>
      </c>
      <c r="C12" t="n">
        <v>7.981</v>
      </c>
      <c r="D12" t="n">
        <v>8.329000000000001</v>
      </c>
      <c r="L12" t="n">
        <v>750</v>
      </c>
    </row>
    <row r="13">
      <c r="A13" t="inlineStr">
        <is>
          <t>10"</t>
        </is>
      </c>
      <c r="B13" t="n">
        <v>250</v>
      </c>
      <c r="C13" t="n">
        <v>10.02</v>
      </c>
      <c r="D13" t="n">
        <v>10.42</v>
      </c>
      <c r="L13" t="n">
        <v>1000</v>
      </c>
    </row>
    <row r="14">
      <c r="A14" t="inlineStr">
        <is>
          <t>12"</t>
        </is>
      </c>
      <c r="B14" t="n">
        <v>300</v>
      </c>
      <c r="C14" t="n">
        <v>11.938</v>
      </c>
      <c r="D14" t="n">
        <v>12.39</v>
      </c>
      <c r="L14" t="n">
        <v>1250</v>
      </c>
    </row>
    <row r="15">
      <c r="L15" t="n">
        <v>1500</v>
      </c>
    </row>
    <row r="16">
      <c r="L16" t="n">
        <v>2000</v>
      </c>
    </row>
    <row r="17">
      <c r="L17" t="n">
        <v>2500</v>
      </c>
    </row>
    <row r="18">
      <c r="A18" s="20" t="inlineStr">
        <is>
          <t>Equivalent length of fittings (ft), Schedule 40 steel, C=120 (commonly published NFPA 13 values; blank = not listed)</t>
        </is>
      </c>
      <c r="L18" t="n">
        <v>3000</v>
      </c>
    </row>
    <row r="19">
      <c r="A19" s="21" t="inlineStr">
        <is>
          <t>Nominal</t>
        </is>
      </c>
      <c r="B19" s="21" t="inlineStr">
        <is>
          <t>DN</t>
        </is>
      </c>
      <c r="C19" s="22" t="inlineStr">
        <is>
          <t>90° elbow (std)</t>
        </is>
      </c>
      <c r="D19" s="22" t="inlineStr">
        <is>
          <t>90° elbow (long)</t>
        </is>
      </c>
      <c r="E19" s="22" t="inlineStr">
        <is>
          <t>45° elbow</t>
        </is>
      </c>
      <c r="F19" s="22" t="inlineStr">
        <is>
          <t>Tee (run)</t>
        </is>
      </c>
      <c r="G19" s="22" t="inlineStr">
        <is>
          <t>Tee/cross (branch)</t>
        </is>
      </c>
      <c r="H19" s="22" t="inlineStr">
        <is>
          <t>Gate valve</t>
        </is>
      </c>
      <c r="I19" s="22" t="inlineStr">
        <is>
          <t>Butterfly valve</t>
        </is>
      </c>
      <c r="J19" s="22" t="inlineStr">
        <is>
          <t>Swing check</t>
        </is>
      </c>
      <c r="L19" t="n">
        <v>3500</v>
      </c>
    </row>
    <row r="20">
      <c r="A20" t="inlineStr">
        <is>
          <t>1"</t>
        </is>
      </c>
      <c r="B20" t="n">
        <v>25</v>
      </c>
      <c r="C20" t="n">
        <v>2</v>
      </c>
      <c r="D20" t="n">
        <v>1</v>
      </c>
      <c r="E20" t="n">
        <v>1</v>
      </c>
      <c r="F20" t="n">
        <v>1</v>
      </c>
      <c r="G20" t="n">
        <v>5</v>
      </c>
      <c r="J20" t="n">
        <v>5</v>
      </c>
      <c r="L20" t="n">
        <v>4000</v>
      </c>
    </row>
    <row r="21">
      <c r="A21" t="inlineStr">
        <is>
          <t>1-1/4"</t>
        </is>
      </c>
      <c r="B21" t="n">
        <v>32</v>
      </c>
      <c r="C21" t="n">
        <v>3</v>
      </c>
      <c r="D21" t="n">
        <v>2</v>
      </c>
      <c r="E21" t="n">
        <v>1</v>
      </c>
      <c r="F21" t="n">
        <v>1</v>
      </c>
      <c r="G21" t="n">
        <v>6</v>
      </c>
      <c r="J21" t="n">
        <v>7</v>
      </c>
      <c r="L21" t="n">
        <v>4500</v>
      </c>
    </row>
    <row r="22">
      <c r="A22" t="inlineStr">
        <is>
          <t>1-1/2"</t>
        </is>
      </c>
      <c r="B22" t="n">
        <v>40</v>
      </c>
      <c r="C22" t="n">
        <v>4</v>
      </c>
      <c r="D22" t="n">
        <v>2</v>
      </c>
      <c r="E22" t="n">
        <v>2</v>
      </c>
      <c r="F22" t="n">
        <v>2</v>
      </c>
      <c r="G22" t="n">
        <v>8</v>
      </c>
      <c r="H22" t="n">
        <v>1</v>
      </c>
      <c r="J22" t="n">
        <v>9</v>
      </c>
      <c r="L22" t="n">
        <v>5000</v>
      </c>
    </row>
    <row r="23">
      <c r="A23" t="inlineStr">
        <is>
          <t>2"</t>
        </is>
      </c>
      <c r="B23" t="n">
        <v>50</v>
      </c>
      <c r="C23" t="n">
        <v>5</v>
      </c>
      <c r="D23" t="n">
        <v>3</v>
      </c>
      <c r="E23" t="n">
        <v>2</v>
      </c>
      <c r="F23" t="n">
        <v>4</v>
      </c>
      <c r="G23" t="n">
        <v>10</v>
      </c>
      <c r="H23" t="n">
        <v>1</v>
      </c>
      <c r="I23" t="n">
        <v>6</v>
      </c>
      <c r="J23" t="n">
        <v>11</v>
      </c>
    </row>
    <row r="24">
      <c r="A24" t="inlineStr">
        <is>
          <t>2-1/2"</t>
        </is>
      </c>
      <c r="B24" t="n">
        <v>65</v>
      </c>
      <c r="C24" t="n">
        <v>6</v>
      </c>
      <c r="D24" t="n">
        <v>4</v>
      </c>
      <c r="E24" t="n">
        <v>3</v>
      </c>
      <c r="F24" t="n">
        <v>5</v>
      </c>
      <c r="G24" t="n">
        <v>12</v>
      </c>
      <c r="H24" t="n">
        <v>1</v>
      </c>
      <c r="I24" t="n">
        <v>7</v>
      </c>
      <c r="J24" t="n">
        <v>14</v>
      </c>
    </row>
    <row r="25">
      <c r="A25" t="inlineStr">
        <is>
          <t>3"</t>
        </is>
      </c>
      <c r="B25" t="n">
        <v>80</v>
      </c>
      <c r="C25" t="n">
        <v>7</v>
      </c>
      <c r="D25" t="n">
        <v>5</v>
      </c>
      <c r="E25" t="n">
        <v>3</v>
      </c>
      <c r="F25" t="n">
        <v>5</v>
      </c>
      <c r="G25" t="n">
        <v>15</v>
      </c>
      <c r="H25" t="n">
        <v>1</v>
      </c>
      <c r="I25" t="n">
        <v>10</v>
      </c>
      <c r="J25" t="n">
        <v>16</v>
      </c>
    </row>
    <row r="26">
      <c r="A26" t="inlineStr">
        <is>
          <t>4"</t>
        </is>
      </c>
      <c r="B26" t="n">
        <v>100</v>
      </c>
      <c r="C26" t="n">
        <v>10</v>
      </c>
      <c r="D26" t="n">
        <v>6</v>
      </c>
      <c r="E26" t="n">
        <v>4</v>
      </c>
      <c r="F26" t="n">
        <v>6</v>
      </c>
      <c r="G26" t="n">
        <v>20</v>
      </c>
      <c r="H26" t="n">
        <v>2</v>
      </c>
      <c r="I26" t="n">
        <v>12</v>
      </c>
      <c r="J26" t="n">
        <v>22</v>
      </c>
    </row>
    <row r="27">
      <c r="A27" t="inlineStr">
        <is>
          <t>5"</t>
        </is>
      </c>
      <c r="B27" t="n">
        <v>125</v>
      </c>
      <c r="C27" t="n">
        <v>12</v>
      </c>
      <c r="D27" t="n">
        <v>8</v>
      </c>
      <c r="E27" t="n">
        <v>5</v>
      </c>
      <c r="F27" t="n">
        <v>8</v>
      </c>
      <c r="G27" t="n">
        <v>25</v>
      </c>
      <c r="H27" t="n">
        <v>2</v>
      </c>
      <c r="I27" t="n">
        <v>9</v>
      </c>
      <c r="J27" t="n">
        <v>27</v>
      </c>
    </row>
    <row r="28">
      <c r="A28" t="inlineStr">
        <is>
          <t>6"</t>
        </is>
      </c>
      <c r="B28" t="n">
        <v>150</v>
      </c>
      <c r="C28" t="n">
        <v>14</v>
      </c>
      <c r="D28" t="n">
        <v>9</v>
      </c>
      <c r="E28" t="n">
        <v>7</v>
      </c>
      <c r="F28" t="n">
        <v>10</v>
      </c>
      <c r="G28" t="n">
        <v>30</v>
      </c>
      <c r="H28" t="n">
        <v>3</v>
      </c>
      <c r="I28" t="n">
        <v>10</v>
      </c>
      <c r="J28" t="n">
        <v>32</v>
      </c>
    </row>
    <row r="29">
      <c r="A29" t="inlineStr">
        <is>
          <t>8"</t>
        </is>
      </c>
      <c r="B29" t="n">
        <v>200</v>
      </c>
      <c r="C29" t="n">
        <v>18</v>
      </c>
      <c r="D29" t="n">
        <v>13</v>
      </c>
      <c r="E29" t="n">
        <v>9</v>
      </c>
      <c r="F29" t="n">
        <v>12</v>
      </c>
      <c r="G29" t="n">
        <v>35</v>
      </c>
      <c r="H29" t="n">
        <v>4</v>
      </c>
      <c r="I29" t="n">
        <v>12</v>
      </c>
      <c r="J29" t="n">
        <v>45</v>
      </c>
    </row>
    <row r="30">
      <c r="A30" t="inlineStr">
        <is>
          <t>10"</t>
        </is>
      </c>
      <c r="B30" t="n">
        <v>250</v>
      </c>
      <c r="C30" t="n">
        <v>22</v>
      </c>
      <c r="D30" t="n">
        <v>16</v>
      </c>
      <c r="E30" t="n">
        <v>11</v>
      </c>
      <c r="F30" t="n">
        <v>15</v>
      </c>
      <c r="G30" t="n">
        <v>50</v>
      </c>
      <c r="H30" t="n">
        <v>5</v>
      </c>
      <c r="I30" t="n">
        <v>15</v>
      </c>
      <c r="J30" t="n">
        <v>55</v>
      </c>
    </row>
    <row r="31">
      <c r="A31" t="inlineStr">
        <is>
          <t>12"</t>
        </is>
      </c>
      <c r="B31" t="n">
        <v>300</v>
      </c>
      <c r="C31" t="n">
        <v>27</v>
      </c>
      <c r="D31" t="n">
        <v>18</v>
      </c>
      <c r="E31" t="n">
        <v>13</v>
      </c>
      <c r="F31" t="n">
        <v>18</v>
      </c>
      <c r="G31" t="n">
        <v>60</v>
      </c>
      <c r="H31" t="n">
        <v>6</v>
      </c>
      <c r="I31" t="n">
        <v>18</v>
      </c>
      <c r="J31" t="n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2026-10-11T13:46:14Z</dcterms:created>
  <dcterms:modified xmlns:dcterms="http://purl.org/dc/terms/" xmlns:xsi="http://www.w3.org/2001/XMLSchema-instance" xsi:type="dcterms:W3CDTF">2026-10-11T13:46:14Z</dcterms:modified>
</cp:coreProperties>
</file>