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eat Load Calculato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21" authorId="0">
      <text>
        <r>
          <rPr>
            <sz val="10"/>
            <rFont val="Arial"/>
            <family val="2"/>
          </rPr>
          <t xml:space="preserve">Enter your project's coincident outdoor design dry bulb and RH — do not use these defaults for a certified calculation. Source your local design conditions from ASHRAE Climatic Design Conditions or the applicable local code.</t>
        </r>
      </text>
    </comment>
    <comment ref="B59" authorId="0">
      <text>
        <r>
          <rPr>
            <sz val="10"/>
            <rFont val="Arial"/>
            <family val="2"/>
          </rPr>
          <t xml:space="preserve">Sensible heat factor 1.23 W per (L/s x K) is the standard air sensible-heat constant at sea-level air density.</t>
        </r>
      </text>
    </comment>
    <comment ref="B65" authorId="0">
      <text>
        <r>
          <rPr>
            <sz val="10"/>
            <rFont val="Arial"/>
            <family val="2"/>
          </rPr>
          <t xml:space="preserve">Latent load = 3010 x flow(m3/s) x humidity-ratio difference (kg/kg), using the Magnus approximation for saturation vapor pressure from each design dry bulb/RH pair (see columns F-G). This is a standard simplified psychrometric method for preliminary sizing, not a full ASHRAE psychrometric chart calculation.</t>
        </r>
      </text>
    </comment>
    <comment ref="D29" authorId="0">
      <text>
        <r>
          <rPr>
            <sz val="10"/>
            <rFont val="Arial"/>
            <family val="2"/>
          </rPr>
          <t xml:space="preserve">Peak solar heat gain factor by orientation, W/m2 of glazing — preliminary hot-climate example values, not certified weather data. Adjust to your project's ASHRAE clear-sky solar data.</t>
        </r>
      </text>
    </comment>
  </commentList>
</comments>
</file>

<file path=xl/sharedStrings.xml><?xml version="1.0" encoding="utf-8"?>
<sst xmlns="http://schemas.openxmlformats.org/spreadsheetml/2006/main" count="109" uniqueCount="87">
  <si>
    <t xml:space="preserve">BuildMEP Free Heat Load Calculator</t>
  </si>
  <si>
    <t xml:space="preserve">Room-by-room cooling load estimate (sensible + latent) — SI units. Fill in the yellow cells.</t>
  </si>
  <si>
    <t xml:space="preserve">Editable cells are yellow. This spreadsheet is a preliminary sizing aid, not a substitute for a certified ASHRAE/CLTD load calculation or manufacturer software.</t>
  </si>
  <si>
    <t xml:space="preserve">This offline calculator uses standard simplified cooling-load formulas and is independent from BuildMEP's live web calculator — the two are not guaranteed to return identical results, since each uses its own internal assumptions.</t>
  </si>
  <si>
    <t xml:space="preserve">1. Project / Location</t>
  </si>
  <si>
    <t xml:space="preserve">Project or room reference</t>
  </si>
  <si>
    <t xml:space="preserve">Office - Level 2 - Room 201</t>
  </si>
  <si>
    <t xml:space="preserve">Location</t>
  </si>
  <si>
    <t xml:space="preserve">Doha, Qatar</t>
  </si>
  <si>
    <t xml:space="preserve">Space use (Office / Retail / Bedroom / Classroom / Restaurant)</t>
  </si>
  <si>
    <t xml:space="preserve">Office</t>
  </si>
  <si>
    <t xml:space="preserve">2. Room Geometry</t>
  </si>
  <si>
    <t xml:space="preserve">Room length</t>
  </si>
  <si>
    <t xml:space="preserve">m</t>
  </si>
  <si>
    <t xml:space="preserve">Room width</t>
  </si>
  <si>
    <t xml:space="preserve">Clear (ceiling) height</t>
  </si>
  <si>
    <t xml:space="preserve">Floor area (calculated)</t>
  </si>
  <si>
    <t xml:space="preserve">m²</t>
  </si>
  <si>
    <t xml:space="preserve">Room volume (calculated)</t>
  </si>
  <si>
    <t xml:space="preserve">m³</t>
  </si>
  <si>
    <t xml:space="preserve">3. Indoor and Outdoor Design Conditions</t>
  </si>
  <si>
    <t xml:space="preserve">Dry bulb (°C)</t>
  </si>
  <si>
    <t xml:space="preserve">RH (%)</t>
  </si>
  <si>
    <t xml:space="preserve">Indoor design condition</t>
  </si>
  <si>
    <t xml:space="preserve">Outdoor design condition</t>
  </si>
  <si>
    <t xml:space="preserve">Design temperature difference (calculated)</t>
  </si>
  <si>
    <t xml:space="preserve">K</t>
  </si>
  <si>
    <t xml:space="preserve">4. Envelope: Construction / Exposure</t>
  </si>
  <si>
    <t xml:space="preserve">Orientation</t>
  </si>
  <si>
    <t xml:space="preserve">Net wall (m²)</t>
  </si>
  <si>
    <t xml:space="preserve">Glazing (m²)</t>
  </si>
  <si>
    <t xml:space="preserve">Solar factor (W/m²)</t>
  </si>
  <si>
    <t xml:space="preserve">North</t>
  </si>
  <si>
    <t xml:space="preserve">East</t>
  </si>
  <si>
    <t xml:space="preserve">South</t>
  </si>
  <si>
    <t xml:space="preserve">West</t>
  </si>
  <si>
    <t xml:space="preserve">Wall U-value</t>
  </si>
  <si>
    <t xml:space="preserve">W/m²·K</t>
  </si>
  <si>
    <t xml:space="preserve">Glass U-value</t>
  </si>
  <si>
    <t xml:space="preserve">Glass SHGC</t>
  </si>
  <si>
    <t xml:space="preserve">Shading multiplier (1.0 = unshaded)</t>
  </si>
  <si>
    <t xml:space="preserve">Roof U-value (0 if roof not exposed)</t>
  </si>
  <si>
    <t xml:space="preserve">External door area</t>
  </si>
  <si>
    <t xml:space="preserve">Door U-value</t>
  </si>
  <si>
    <t xml:space="preserve">5. Internal Loads: People, Lighting, Equipment</t>
  </si>
  <si>
    <t xml:space="preserve">Number of people</t>
  </si>
  <si>
    <t xml:space="preserve">Sensible heat per person</t>
  </si>
  <si>
    <t xml:space="preserve">W/person</t>
  </si>
  <si>
    <t xml:space="preserve">Latent heat per person</t>
  </si>
  <si>
    <t xml:space="preserve">Occupancy / diversity factor (0-1)</t>
  </si>
  <si>
    <t xml:space="preserve">Lighting load density</t>
  </si>
  <si>
    <t xml:space="preserve">W/m²</t>
  </si>
  <si>
    <t xml:space="preserve">Equipment load density</t>
  </si>
  <si>
    <t xml:space="preserve">6. Outdoor Air: Ventilation and Infiltration</t>
  </si>
  <si>
    <t xml:space="preserve">Ventilation air flow</t>
  </si>
  <si>
    <t xml:space="preserve">L/s</t>
  </si>
  <si>
    <t xml:space="preserve">Infiltration rate</t>
  </si>
  <si>
    <t xml:space="preserve">ACH</t>
  </si>
  <si>
    <t xml:space="preserve">Results</t>
  </si>
  <si>
    <t xml:space="preserve">Envelope conduction (walls, roof, doors)</t>
  </si>
  <si>
    <t xml:space="preserve">W</t>
  </si>
  <si>
    <t xml:space="preserve">Glazing conduction</t>
  </si>
  <si>
    <t xml:space="preserve">Glazing solar gain</t>
  </si>
  <si>
    <t xml:space="preserve">People — sensible</t>
  </si>
  <si>
    <t xml:space="preserve">People — latent</t>
  </si>
  <si>
    <t xml:space="preserve">Lighting</t>
  </si>
  <si>
    <t xml:space="preserve">Equipment</t>
  </si>
  <si>
    <t xml:space="preserve">Ventilation — sensible</t>
  </si>
  <si>
    <t xml:space="preserve">Infiltration air flow (calculated)</t>
  </si>
  <si>
    <t xml:space="preserve">Infiltration — sensible</t>
  </si>
  <si>
    <t xml:space="preserve">Humidity ratio check (kg water / kg dry air)</t>
  </si>
  <si>
    <t xml:space="preserve">Outdoor humidity ratio</t>
  </si>
  <si>
    <t xml:space="preserve">Indoor humidity ratio</t>
  </si>
  <si>
    <t xml:space="preserve">Ventilation + infiltration — latent</t>
  </si>
  <si>
    <t xml:space="preserve">Totals</t>
  </si>
  <si>
    <t xml:space="preserve">Total sensible load</t>
  </si>
  <si>
    <t xml:space="preserve">kW</t>
  </si>
  <si>
    <t xml:space="preserve">Total latent load</t>
  </si>
  <si>
    <t xml:space="preserve">TOTAL COOLING LOAD</t>
  </si>
  <si>
    <t xml:space="preserve">Total cooling load in Tons of Refrigeration</t>
  </si>
  <si>
    <t xml:space="preserve">TR</t>
  </si>
  <si>
    <t xml:space="preserve">Sensible heat ratio (SHR)</t>
  </si>
  <si>
    <t xml:space="preserve">Load density (calculated)</t>
  </si>
  <si>
    <t xml:space="preserve">Safety / allowance margin</t>
  </si>
  <si>
    <t xml:space="preserve">RECOMMENDED NOMINAL CAPACITY (rounded up)</t>
  </si>
  <si>
    <t xml:space="preserve">Methodology: envelope conduction (U-value x area x design dT) + glazing solar gain (SHGC x glazing area x orientation solar factor x shading) + internal loads (people, lighting, equipment) + ventilation/infiltration outdoor air (sensible via 1.23 x L/s x dT; latent via a simplified RH-differential proxy). This mirrors a standard simplified cooling-load method (CLTD/CLF-style) for preliminary sizing. It is not a substitute for a full ASHRAE Handbook load calculation, a certified software package (e.g. Carrier HAP, Trane TRACE), or a mechanical engineer's sign-off on a real project.</t>
  </si>
  <si>
    <t xml:space="preserve">For an interactive version with a live results panel, see BuildMEP's web-based Heat Load Calculator at buildmep.com/free-heat-load-calculator/.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</si>
</sst>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General"/>
    <numFmt numFmtId="166" formatCode="#,##0"/>
    <numFmt numFmtId="167" formatCode="#,##0.0"/>
    <numFmt numFmtId="168" formatCode="0.00000"/>
    <numFmt numFmtId="169" formatCode="0.00"/>
    <numFmt numFmtId="170" formatCode="0.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2747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i val="true"/>
      <sz val="9"/>
      <color rgb="FF99000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0F2747"/>
      <name val="Arial"/>
      <family val="0"/>
      <charset val="1"/>
    </font>
    <font>
      <b val="true"/>
      <sz val="12"/>
      <color rgb="FF0F2747"/>
      <name val="Arial"/>
      <family val="0"/>
      <charset val="1"/>
    </font>
    <font>
      <sz val="10"/>
      <color rgb="FFFFFFFF"/>
      <name val="Arial"/>
      <family val="0"/>
      <charset val="1"/>
    </font>
    <font>
      <b val="true"/>
      <sz val="20"/>
      <color rgb="FF105ED8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F2747"/>
        <bgColor rgb="FF333333"/>
      </patternFill>
    </fill>
    <fill>
      <patternFill patternType="solid">
        <fgColor rgb="FFFFF7CC"/>
        <bgColor rgb="FFFFFFFF"/>
      </patternFill>
    </fill>
    <fill>
      <patternFill patternType="solid">
        <fgColor rgb="FFEAF1F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9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7CC"/>
      <rgbColor rgb="FFEAF1FB"/>
      <rgbColor rgb="FF660066"/>
      <rgbColor rgb="FFFF8080"/>
      <rgbColor rgb="FF105ED8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F2747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6" min="2" style="0" width="14"/>
    <col collapsed="false" customWidth="true" hidden="false" outlineLevel="0" max="7" min="7" style="0" width="40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3" t="s">
        <v>2</v>
      </c>
      <c r="B3" s="3"/>
      <c r="C3" s="3"/>
      <c r="D3" s="3"/>
      <c r="E3" s="3"/>
      <c r="F3" s="3"/>
      <c r="G3" s="3"/>
    </row>
    <row r="4" customFormat="false" ht="15" hidden="false" customHeight="false" outlineLevel="0" collapsed="false">
      <c r="A4" s="3" t="s">
        <v>3</v>
      </c>
      <c r="B4" s="3"/>
      <c r="C4" s="3"/>
      <c r="D4" s="3"/>
      <c r="E4" s="3"/>
      <c r="F4" s="3"/>
      <c r="G4" s="3"/>
    </row>
    <row r="6" customFormat="false" ht="19.5" hidden="false" customHeight="true" outlineLevel="0" collapsed="false">
      <c r="A6" s="4" t="s">
        <v>4</v>
      </c>
      <c r="B6" s="4"/>
      <c r="C6" s="4"/>
      <c r="D6" s="4"/>
      <c r="E6" s="4"/>
      <c r="F6" s="4"/>
      <c r="G6" s="4"/>
    </row>
    <row r="7" customFormat="false" ht="15" hidden="false" customHeight="false" outlineLevel="0" collapsed="false">
      <c r="A7" s="5" t="s">
        <v>5</v>
      </c>
      <c r="B7" s="6" t="s">
        <v>6</v>
      </c>
    </row>
    <row r="8" customFormat="false" ht="15" hidden="false" customHeight="false" outlineLevel="0" collapsed="false">
      <c r="A8" s="5" t="s">
        <v>7</v>
      </c>
      <c r="B8" s="6" t="s">
        <v>8</v>
      </c>
    </row>
    <row r="9" customFormat="false" ht="15" hidden="false" customHeight="false" outlineLevel="0" collapsed="false">
      <c r="A9" s="5" t="s">
        <v>9</v>
      </c>
      <c r="B9" s="6" t="s">
        <v>10</v>
      </c>
    </row>
    <row r="11" customFormat="false" ht="19.5" hidden="false" customHeight="true" outlineLevel="0" collapsed="false">
      <c r="A11" s="4" t="s">
        <v>11</v>
      </c>
      <c r="B11" s="4"/>
      <c r="C11" s="4"/>
      <c r="D11" s="4"/>
      <c r="E11" s="4"/>
      <c r="F11" s="4"/>
      <c r="G11" s="4"/>
    </row>
    <row r="12" customFormat="false" ht="15" hidden="false" customHeight="false" outlineLevel="0" collapsed="false">
      <c r="A12" s="5" t="s">
        <v>12</v>
      </c>
      <c r="B12" s="6" t="n">
        <v>6</v>
      </c>
      <c r="C12" s="7" t="s">
        <v>13</v>
      </c>
    </row>
    <row r="13" customFormat="false" ht="15" hidden="false" customHeight="false" outlineLevel="0" collapsed="false">
      <c r="A13" s="5" t="s">
        <v>14</v>
      </c>
      <c r="B13" s="6" t="n">
        <v>5</v>
      </c>
      <c r="C13" s="7" t="s">
        <v>13</v>
      </c>
    </row>
    <row r="14" customFormat="false" ht="15" hidden="false" customHeight="false" outlineLevel="0" collapsed="false">
      <c r="A14" s="5" t="s">
        <v>15</v>
      </c>
      <c r="B14" s="6" t="n">
        <v>3</v>
      </c>
      <c r="C14" s="7" t="s">
        <v>13</v>
      </c>
    </row>
    <row r="15" customFormat="false" ht="15" hidden="false" customHeight="false" outlineLevel="0" collapsed="false">
      <c r="A15" s="5" t="s">
        <v>16</v>
      </c>
      <c r="B15" s="8" t="n">
        <f aca="false">B12*B13</f>
        <v>30</v>
      </c>
      <c r="C15" s="7" t="s">
        <v>17</v>
      </c>
    </row>
    <row r="16" customFormat="false" ht="15" hidden="false" customHeight="false" outlineLevel="0" collapsed="false">
      <c r="A16" s="5" t="s">
        <v>18</v>
      </c>
      <c r="B16" s="8" t="n">
        <f aca="false">B15*B14</f>
        <v>90</v>
      </c>
      <c r="C16" s="7" t="s">
        <v>19</v>
      </c>
    </row>
    <row r="18" customFormat="false" ht="19.5" hidden="false" customHeight="true" outlineLevel="0" collapsed="false">
      <c r="A18" s="4" t="s">
        <v>20</v>
      </c>
      <c r="B18" s="4"/>
      <c r="C18" s="4"/>
      <c r="D18" s="4"/>
      <c r="E18" s="4"/>
      <c r="F18" s="4"/>
      <c r="G18" s="4"/>
    </row>
    <row r="19" customFormat="false" ht="15" hidden="false" customHeight="false" outlineLevel="0" collapsed="false">
      <c r="B19" s="9" t="s">
        <v>21</v>
      </c>
      <c r="C19" s="9" t="s">
        <v>22</v>
      </c>
    </row>
    <row r="20" customFormat="false" ht="15" hidden="false" customHeight="false" outlineLevel="0" collapsed="false">
      <c r="A20" s="5" t="s">
        <v>23</v>
      </c>
      <c r="B20" s="10" t="n">
        <v>24</v>
      </c>
      <c r="C20" s="10" t="n">
        <v>50</v>
      </c>
    </row>
    <row r="21" customFormat="false" ht="15" hidden="false" customHeight="false" outlineLevel="0" collapsed="false">
      <c r="A21" s="5" t="s">
        <v>24</v>
      </c>
      <c r="B21" s="10" t="n">
        <v>46</v>
      </c>
      <c r="C21" s="10" t="n">
        <v>30</v>
      </c>
    </row>
    <row r="22" customFormat="false" ht="15" hidden="false" customHeight="false" outlineLevel="0" collapsed="false">
      <c r="A22" s="5" t="s">
        <v>25</v>
      </c>
      <c r="B22" s="8" t="n">
        <f aca="false">B21-B20</f>
        <v>22</v>
      </c>
      <c r="C22" s="7" t="s">
        <v>26</v>
      </c>
    </row>
    <row r="24" customFormat="false" ht="19.5" hidden="false" customHeight="true" outlineLevel="0" collapsed="false">
      <c r="A24" s="4" t="s">
        <v>27</v>
      </c>
      <c r="B24" s="4"/>
      <c r="C24" s="4"/>
      <c r="D24" s="4"/>
      <c r="E24" s="4"/>
      <c r="F24" s="4"/>
      <c r="G24" s="4"/>
    </row>
    <row r="25" customFormat="false" ht="15" hidden="false" customHeight="false" outlineLevel="0" collapsed="false">
      <c r="A25" s="9" t="s">
        <v>28</v>
      </c>
      <c r="B25" s="9" t="s">
        <v>29</v>
      </c>
      <c r="C25" s="9" t="s">
        <v>30</v>
      </c>
      <c r="D25" s="9" t="s">
        <v>31</v>
      </c>
    </row>
    <row r="26" customFormat="false" ht="15" hidden="false" customHeight="false" outlineLevel="0" collapsed="false">
      <c r="A26" s="5" t="s">
        <v>32</v>
      </c>
      <c r="B26" s="10" t="n">
        <v>0</v>
      </c>
      <c r="C26" s="10" t="n">
        <v>0</v>
      </c>
      <c r="D26" s="8" t="n">
        <v>120</v>
      </c>
    </row>
    <row r="27" customFormat="false" ht="15" hidden="false" customHeight="false" outlineLevel="0" collapsed="false">
      <c r="A27" s="5" t="s">
        <v>33</v>
      </c>
      <c r="B27" s="10" t="n">
        <v>0</v>
      </c>
      <c r="C27" s="10" t="n">
        <v>0</v>
      </c>
      <c r="D27" s="8" t="n">
        <v>90</v>
      </c>
    </row>
    <row r="28" customFormat="false" ht="15" hidden="false" customHeight="false" outlineLevel="0" collapsed="false">
      <c r="A28" s="5" t="s">
        <v>34</v>
      </c>
      <c r="B28" s="10" t="n">
        <v>15</v>
      </c>
      <c r="C28" s="10" t="n">
        <v>3</v>
      </c>
      <c r="D28" s="8" t="n">
        <v>240</v>
      </c>
    </row>
    <row r="29" customFormat="false" ht="15" hidden="false" customHeight="false" outlineLevel="0" collapsed="false">
      <c r="A29" s="5" t="s">
        <v>35</v>
      </c>
      <c r="B29" s="10" t="n">
        <v>9</v>
      </c>
      <c r="C29" s="10" t="n">
        <v>6</v>
      </c>
      <c r="D29" s="8" t="n">
        <v>550</v>
      </c>
    </row>
    <row r="31" customFormat="false" ht="15" hidden="false" customHeight="false" outlineLevel="0" collapsed="false">
      <c r="A31" s="5" t="s">
        <v>36</v>
      </c>
      <c r="B31" s="6" t="n">
        <v>0.35</v>
      </c>
      <c r="C31" s="7" t="s">
        <v>37</v>
      </c>
    </row>
    <row r="32" customFormat="false" ht="15" hidden="false" customHeight="false" outlineLevel="0" collapsed="false">
      <c r="A32" s="5" t="s">
        <v>38</v>
      </c>
      <c r="B32" s="6" t="n">
        <v>2.8</v>
      </c>
      <c r="C32" s="7" t="s">
        <v>37</v>
      </c>
    </row>
    <row r="33" customFormat="false" ht="15" hidden="false" customHeight="false" outlineLevel="0" collapsed="false">
      <c r="A33" s="5" t="s">
        <v>39</v>
      </c>
      <c r="B33" s="6" t="n">
        <v>0.35</v>
      </c>
    </row>
    <row r="34" customFormat="false" ht="15" hidden="false" customHeight="false" outlineLevel="0" collapsed="false">
      <c r="A34" s="5" t="s">
        <v>40</v>
      </c>
      <c r="B34" s="6" t="n">
        <v>0.75</v>
      </c>
    </row>
    <row r="35" customFormat="false" ht="15" hidden="false" customHeight="false" outlineLevel="0" collapsed="false">
      <c r="A35" s="5" t="s">
        <v>41</v>
      </c>
      <c r="B35" s="6" t="n">
        <v>0.3</v>
      </c>
      <c r="C35" s="7" t="s">
        <v>37</v>
      </c>
    </row>
    <row r="36" customFormat="false" ht="15" hidden="false" customHeight="false" outlineLevel="0" collapsed="false">
      <c r="A36" s="5" t="s">
        <v>42</v>
      </c>
      <c r="B36" s="6" t="n">
        <v>0</v>
      </c>
      <c r="C36" s="7" t="s">
        <v>17</v>
      </c>
    </row>
    <row r="37" customFormat="false" ht="15" hidden="false" customHeight="false" outlineLevel="0" collapsed="false">
      <c r="A37" s="5" t="s">
        <v>43</v>
      </c>
      <c r="B37" s="6" t="n">
        <v>2</v>
      </c>
      <c r="C37" s="7" t="s">
        <v>37</v>
      </c>
    </row>
    <row r="39" customFormat="false" ht="19.5" hidden="false" customHeight="true" outlineLevel="0" collapsed="false">
      <c r="A39" s="4" t="s">
        <v>44</v>
      </c>
      <c r="B39" s="4"/>
      <c r="C39" s="4"/>
      <c r="D39" s="4"/>
      <c r="E39" s="4"/>
      <c r="F39" s="4"/>
      <c r="G39" s="4"/>
    </row>
    <row r="40" customFormat="false" ht="15" hidden="false" customHeight="false" outlineLevel="0" collapsed="false">
      <c r="A40" s="5" t="s">
        <v>45</v>
      </c>
      <c r="B40" s="6" t="n">
        <v>6</v>
      </c>
    </row>
    <row r="41" customFormat="false" ht="15" hidden="false" customHeight="false" outlineLevel="0" collapsed="false">
      <c r="A41" s="5" t="s">
        <v>46</v>
      </c>
      <c r="B41" s="6" t="n">
        <v>75</v>
      </c>
      <c r="C41" s="7" t="s">
        <v>47</v>
      </c>
    </row>
    <row r="42" customFormat="false" ht="15" hidden="false" customHeight="false" outlineLevel="0" collapsed="false">
      <c r="A42" s="5" t="s">
        <v>48</v>
      </c>
      <c r="B42" s="6" t="n">
        <v>55</v>
      </c>
      <c r="C42" s="7" t="s">
        <v>47</v>
      </c>
    </row>
    <row r="43" customFormat="false" ht="15" hidden="false" customHeight="false" outlineLevel="0" collapsed="false">
      <c r="A43" s="5" t="s">
        <v>49</v>
      </c>
      <c r="B43" s="6" t="n">
        <v>1</v>
      </c>
    </row>
    <row r="44" customFormat="false" ht="15" hidden="false" customHeight="false" outlineLevel="0" collapsed="false">
      <c r="A44" s="5" t="s">
        <v>50</v>
      </c>
      <c r="B44" s="6" t="n">
        <v>10</v>
      </c>
      <c r="C44" s="7" t="s">
        <v>51</v>
      </c>
    </row>
    <row r="45" customFormat="false" ht="15" hidden="false" customHeight="false" outlineLevel="0" collapsed="false">
      <c r="A45" s="5" t="s">
        <v>52</v>
      </c>
      <c r="B45" s="6" t="n">
        <v>8</v>
      </c>
      <c r="C45" s="7" t="s">
        <v>51</v>
      </c>
    </row>
    <row r="47" customFormat="false" ht="19.5" hidden="false" customHeight="true" outlineLevel="0" collapsed="false">
      <c r="A47" s="4" t="s">
        <v>53</v>
      </c>
      <c r="B47" s="4"/>
      <c r="C47" s="4"/>
      <c r="D47" s="4"/>
      <c r="E47" s="4"/>
      <c r="F47" s="4"/>
      <c r="G47" s="4"/>
    </row>
    <row r="48" customFormat="false" ht="15" hidden="false" customHeight="false" outlineLevel="0" collapsed="false">
      <c r="A48" s="5" t="s">
        <v>54</v>
      </c>
      <c r="B48" s="6" t="n">
        <v>180</v>
      </c>
      <c r="C48" s="7" t="s">
        <v>55</v>
      </c>
    </row>
    <row r="49" customFormat="false" ht="15" hidden="false" customHeight="false" outlineLevel="0" collapsed="false">
      <c r="A49" s="5" t="s">
        <v>56</v>
      </c>
      <c r="B49" s="6" t="n">
        <v>0.5</v>
      </c>
      <c r="C49" s="7" t="s">
        <v>57</v>
      </c>
    </row>
    <row r="51" customFormat="false" ht="19.5" hidden="false" customHeight="true" outlineLevel="0" collapsed="false">
      <c r="A51" s="4" t="s">
        <v>58</v>
      </c>
      <c r="B51" s="4"/>
      <c r="C51" s="4"/>
      <c r="D51" s="4"/>
      <c r="E51" s="4"/>
      <c r="F51" s="4"/>
      <c r="G51" s="4"/>
    </row>
    <row r="52" customFormat="false" ht="15" hidden="false" customHeight="false" outlineLevel="0" collapsed="false">
      <c r="A52" s="5" t="s">
        <v>59</v>
      </c>
      <c r="B52" s="11" t="n">
        <f aca="false">((SUM(B26:B29)*B31)+(B35*B15)+(B36*B37))*B22</f>
        <v>382.8</v>
      </c>
      <c r="C52" s="7" t="s">
        <v>60</v>
      </c>
    </row>
    <row r="53" customFormat="false" ht="15" hidden="false" customHeight="false" outlineLevel="0" collapsed="false">
      <c r="A53" s="5" t="s">
        <v>61</v>
      </c>
      <c r="B53" s="11" t="n">
        <f aca="false">SUM(C26:C29)*B32*B22</f>
        <v>554.4</v>
      </c>
      <c r="C53" s="7" t="s">
        <v>60</v>
      </c>
    </row>
    <row r="54" customFormat="false" ht="15" hidden="false" customHeight="false" outlineLevel="0" collapsed="false">
      <c r="A54" s="5" t="s">
        <v>62</v>
      </c>
      <c r="B54" s="11" t="n">
        <f aca="false">SUMPRODUCT(C26:C29,D26:D29)*B33*B34</f>
        <v>1055.25</v>
      </c>
      <c r="C54" s="7" t="s">
        <v>60</v>
      </c>
    </row>
    <row r="55" customFormat="false" ht="15" hidden="false" customHeight="false" outlineLevel="0" collapsed="false">
      <c r="A55" s="5" t="s">
        <v>63</v>
      </c>
      <c r="B55" s="11" t="n">
        <f aca="false">B40*B41*B43</f>
        <v>450</v>
      </c>
      <c r="C55" s="7" t="s">
        <v>60</v>
      </c>
    </row>
    <row r="56" customFormat="false" ht="15" hidden="false" customHeight="false" outlineLevel="0" collapsed="false">
      <c r="A56" s="5" t="s">
        <v>64</v>
      </c>
      <c r="B56" s="11" t="n">
        <f aca="false">B40*B42*B43</f>
        <v>330</v>
      </c>
      <c r="C56" s="7" t="s">
        <v>60</v>
      </c>
    </row>
    <row r="57" customFormat="false" ht="15" hidden="false" customHeight="false" outlineLevel="0" collapsed="false">
      <c r="A57" s="5" t="s">
        <v>65</v>
      </c>
      <c r="B57" s="11" t="n">
        <f aca="false">B44*B15</f>
        <v>300</v>
      </c>
      <c r="C57" s="7" t="s">
        <v>60</v>
      </c>
    </row>
    <row r="58" customFormat="false" ht="15" hidden="false" customHeight="false" outlineLevel="0" collapsed="false">
      <c r="A58" s="5" t="s">
        <v>66</v>
      </c>
      <c r="B58" s="11" t="n">
        <f aca="false">B45*B15</f>
        <v>240</v>
      </c>
      <c r="C58" s="7" t="s">
        <v>60</v>
      </c>
    </row>
    <row r="59" customFormat="false" ht="15" hidden="false" customHeight="false" outlineLevel="0" collapsed="false">
      <c r="A59" s="5" t="s">
        <v>67</v>
      </c>
      <c r="B59" s="11" t="n">
        <f aca="false">1.23*B48*B22</f>
        <v>4870.8</v>
      </c>
      <c r="C59" s="7" t="s">
        <v>60</v>
      </c>
    </row>
    <row r="60" customFormat="false" ht="15" hidden="false" customHeight="false" outlineLevel="0" collapsed="false">
      <c r="A60" s="5" t="s">
        <v>68</v>
      </c>
      <c r="B60" s="12" t="n">
        <f aca="false">B49*B16*1000/3600</f>
        <v>12.5</v>
      </c>
      <c r="C60" s="7" t="s">
        <v>55</v>
      </c>
    </row>
    <row r="61" customFormat="false" ht="15" hidden="false" customHeight="false" outlineLevel="0" collapsed="false">
      <c r="A61" s="5" t="s">
        <v>69</v>
      </c>
      <c r="B61" s="11" t="n">
        <f aca="false">1.23*B60*B22</f>
        <v>338.25</v>
      </c>
      <c r="C61" s="7" t="s">
        <v>60</v>
      </c>
    </row>
    <row r="62" customFormat="false" ht="15" hidden="false" customHeight="false" outlineLevel="0" collapsed="false">
      <c r="F62" s="7" t="s">
        <v>70</v>
      </c>
    </row>
    <row r="63" customFormat="false" ht="15" hidden="false" customHeight="false" outlineLevel="0" collapsed="false">
      <c r="F63" s="7" t="s">
        <v>71</v>
      </c>
      <c r="G63" s="13" t="n">
        <f aca="false">0.622*(0.6108*EXP(17.27*B21/(B21+237.3))*C21/100)/(101.325-(0.6108*EXP(17.27*B21/(B21+237.3))*C21/100))</f>
        <v>0.0191467281890766</v>
      </c>
    </row>
    <row r="64" customFormat="false" ht="15" hidden="false" customHeight="false" outlineLevel="0" collapsed="false">
      <c r="F64" s="7" t="s">
        <v>72</v>
      </c>
      <c r="G64" s="13" t="n">
        <f aca="false">0.622*(0.6108*EXP(17.27*B20/(B20+237.3))*C20/100)/(101.325-(0.6108*EXP(17.27*B20/(B20+237.3))*C20/100))</f>
        <v>0.0092955030085529</v>
      </c>
    </row>
    <row r="65" customFormat="false" ht="15" hidden="false" customHeight="false" outlineLevel="0" collapsed="false">
      <c r="A65" s="5" t="s">
        <v>73</v>
      </c>
      <c r="B65" s="11" t="n">
        <f aca="false">3010*((B48+B60)/1000)*(G63-G64)*1000</f>
        <v>5708.04615022494</v>
      </c>
      <c r="C65" s="7" t="s">
        <v>60</v>
      </c>
    </row>
    <row r="67" customFormat="false" ht="19.5" hidden="false" customHeight="true" outlineLevel="0" collapsed="false">
      <c r="A67" s="4" t="s">
        <v>74</v>
      </c>
      <c r="B67" s="4"/>
      <c r="C67" s="4"/>
      <c r="D67" s="4"/>
      <c r="E67" s="4"/>
      <c r="F67" s="4"/>
      <c r="G67" s="4"/>
    </row>
    <row r="68" customFormat="false" ht="15" hidden="false" customHeight="false" outlineLevel="0" collapsed="false">
      <c r="A68" s="9" t="s">
        <v>75</v>
      </c>
      <c r="B68" s="14" t="n">
        <f aca="false">(B52+B53+B54+B55+B57+B58+B59+B61)/1000</f>
        <v>8.1915</v>
      </c>
      <c r="C68" s="7" t="s">
        <v>76</v>
      </c>
    </row>
    <row r="69" customFormat="false" ht="15" hidden="false" customHeight="false" outlineLevel="0" collapsed="false">
      <c r="A69" s="9" t="s">
        <v>77</v>
      </c>
      <c r="B69" s="14" t="n">
        <f aca="false">(B56+B65)/1000</f>
        <v>6.03804615022495</v>
      </c>
      <c r="C69" s="7" t="s">
        <v>76</v>
      </c>
    </row>
    <row r="70" customFormat="false" ht="15" hidden="false" customHeight="false" outlineLevel="0" collapsed="false">
      <c r="A70" s="15" t="s">
        <v>78</v>
      </c>
      <c r="B70" s="16" t="n">
        <f aca="false">B68+B69</f>
        <v>14.2295461502249</v>
      </c>
      <c r="C70" s="17" t="s">
        <v>76</v>
      </c>
    </row>
    <row r="71" customFormat="false" ht="15" hidden="false" customHeight="false" outlineLevel="0" collapsed="false">
      <c r="A71" s="5" t="s">
        <v>79</v>
      </c>
      <c r="B71" s="18" t="n">
        <f aca="false">B70/3.517</f>
        <v>4.04593294006965</v>
      </c>
      <c r="C71" s="7" t="s">
        <v>80</v>
      </c>
    </row>
    <row r="72" customFormat="false" ht="15" hidden="false" customHeight="false" outlineLevel="0" collapsed="false">
      <c r="A72" s="5" t="s">
        <v>81</v>
      </c>
      <c r="B72" s="18" t="n">
        <f aca="false">IFERROR(B68/B70,"")</f>
        <v>0.575668395430202</v>
      </c>
    </row>
    <row r="73" customFormat="false" ht="15" hidden="false" customHeight="false" outlineLevel="0" collapsed="false">
      <c r="A73" s="5" t="s">
        <v>82</v>
      </c>
      <c r="B73" s="11" t="n">
        <f aca="false">IFERROR(B70*1000/B15,"")</f>
        <v>474.318205007498</v>
      </c>
      <c r="C73" s="7" t="s">
        <v>51</v>
      </c>
    </row>
    <row r="74" customFormat="false" ht="15" hidden="false" customHeight="false" outlineLevel="0" collapsed="false">
      <c r="A74" s="5" t="s">
        <v>83</v>
      </c>
      <c r="B74" s="6" t="n">
        <v>0.1</v>
      </c>
    </row>
    <row r="75" customFormat="false" ht="24.45" hidden="false" customHeight="false" outlineLevel="0" collapsed="false">
      <c r="A75" s="19" t="s">
        <v>84</v>
      </c>
      <c r="B75" s="20" t="n">
        <f aca="false">ROUNDUP(B71*(1+B74)*2,0)/2</f>
        <v>4.5</v>
      </c>
      <c r="C75" s="21" t="s">
        <v>80</v>
      </c>
    </row>
    <row r="77" customFormat="false" ht="45" hidden="false" customHeight="true" outlineLevel="0" collapsed="false">
      <c r="A77" s="22" t="s">
        <v>85</v>
      </c>
      <c r="B77" s="22"/>
      <c r="C77" s="22"/>
      <c r="D77" s="22"/>
      <c r="E77" s="22"/>
      <c r="F77" s="22"/>
      <c r="G77" s="22"/>
    </row>
    <row r="78" customFormat="false" ht="15" hidden="false" customHeight="false" outlineLevel="0" collapsed="false">
      <c r="A78" s="23" t="s">
        <v>86</v>
      </c>
      <c r="B78" s="23"/>
      <c r="C78" s="23"/>
      <c r="D78" s="23"/>
      <c r="E78" s="23"/>
      <c r="F78" s="23"/>
      <c r="G78" s="23"/>
    </row>
  </sheetData>
  <mergeCells count="14">
    <mergeCell ref="A1:G1"/>
    <mergeCell ref="A2:G2"/>
    <mergeCell ref="A3:G3"/>
    <mergeCell ref="A4:G4"/>
    <mergeCell ref="A6:G6"/>
    <mergeCell ref="A11:G11"/>
    <mergeCell ref="A18:G18"/>
    <mergeCell ref="A24:G24"/>
    <mergeCell ref="A39:G39"/>
    <mergeCell ref="A47:G47"/>
    <mergeCell ref="A51:G51"/>
    <mergeCell ref="A67:G67"/>
    <mergeCell ref="A77:G77"/>
    <mergeCell ref="A78:G7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2026-09-14T08:46:57Z</dcterms:created>
  <dc:creator>openpyxl</dc:creator>
  <dc:description/>
  <dc:language>en-US</dc:language>
  <cp:lastModifiedBy/>
  <dcterms:modified xsi:type="dcterms:W3CDTF">2026-09-14T08:46:57Z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